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<sst xmlns="http://schemas.openxmlformats.org/spreadsheetml/2006/main" count="891" uniqueCount="178">
  <si>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</si>
  <si>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</si>
  <si>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</si>
  <si>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</si>
  <si>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</si>
  <si>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</si>
  <si>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</si>
  <si>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</si>
  <si>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</si>
  <si>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</si>
  <si>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</si>
  <si>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</si>
  <si>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</si>
  <si>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</si>
  <si>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</si>
  <si>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</si>
  <si>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</si>
  <si>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</si>
  <si>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</si>
  <si>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</si>
  <si>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</si>
  <si>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</si>
  <si>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</si>
  <si>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</si>
  <si>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</si>
  <si>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</si>
  <si>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</si>
  <si>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</si>
  <si>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</si>
  <si>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</si>
  <si>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</si>
  <si>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</si>
  <si>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</si>
  <si>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</si>
  <si>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</si>
  <si>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</si>
  <si>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</si>
  <si>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</si>
  <si>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</si>
  <si>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</si>
  <si>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</si>
  <si>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</si>
  <si>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</si>
  <si>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</si>
  <si>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</si>
  <si>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</si>
  <si>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</si>
  <si>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</si>
  <si>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</si>
  <si>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</si>
  <si>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</si>
  <si>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</si>
  <si>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</si>
  <si>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</si>
  <si>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</si>
  <si>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</si>
  <si>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</si>
  <si>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</si>
  <si>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</si>
  <si>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</si>
  <si>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</si>
  <si>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</si>
  <si>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</si>
  <si>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</si>
  <si>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</si>
  <si>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</si>
  <si>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</si>
  <si>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</si>
  <si>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</si>
  <si>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</si>
  <si>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</si>
  <si>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</si>
  <si>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</si>
  <si>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</si>
  <si>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</si>
  <si>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</si>
  <si>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</si>
  <si>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</si>
  <si>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</si>
  <si>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</si>
  <si>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</si>
  <si>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</si>
  <si>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</si>
  <si>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</si>
  <si>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</si>
  <si>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</si>
  <si>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</si>
  <si>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</si>
  <si>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</si>
  <si>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</si>
  <si>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</si>
  <si>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</si>
  <si>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</si>
  <si>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</si>
  <si>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</si>
  <si>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</si>
  <si>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</si>
  <si>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</si>
  <si>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</si>
  <si>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</si>
  <si>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</si>
  <si>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</si>
  <si>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</si>
  <si>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</si>
  <si>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</si>
  <si>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</si>
  <si>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</si>
  <si>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</si>
  <si>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</si>
  <si>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</si>
  <si>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</si>
  <si>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</si>
  <si>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</si>
  <si>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</si>
  <si>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</si>
  <si>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</si>
  <si>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</si>
  <si>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</si>
  <si>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</si>
  <si>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</si>
  <si>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</si>
  <si>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</si>
  <si>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</si>
  <si>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</si>
  <si>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</si>
  <si>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</si>
  <si>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</si>
  <si>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</si>
  <si>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</si>
  <si>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</si>
  <si>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</si>
  <si>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</si>
  <si>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</si>
  <si>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</si>
  <si>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</si>
  <si>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</si>
  <si>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</si>
  <si>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</si>
  <si>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</si>
  <si>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</si>
  <si>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</si>
  <si>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</si>
  <si>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</si>
  <si>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</si>
  <si>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</si>
  <si>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</si>
  <si>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</si>
  <si>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</si>
  <si>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</si>
  <si>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</si>
  <si>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</si>
  <si>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</si>
  <si>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</si>
  <si>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</si>
  <si>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</si>
  <si>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</si>
  <si>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</si>
  <si>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</si>
  <si>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</si>
  <si>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</si>
  <si>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</si>
  <si>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</si>
  <si>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</si>
  <si>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</si>
  <si>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</si>
  <si>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</si>
  <si>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</si>
  <si>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</si>
  <si>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</si>
  <si>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</si>
  <si>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</si>
  <si>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</si>
  <si>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</si>
  <si>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</si>
  <si>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</si>
  <si>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</si>
  <si>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23.06.2016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</si>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</sst>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417977.06</v>
      </c>
      <c r="G8" s="191">
        <f aca="true" t="shared" si="0" ref="G8:G36">F8-E8</f>
        <v>-2258.719999999972</v>
      </c>
      <c r="H8" s="192">
        <f>F8/E8*100</f>
        <v>99.46251125975043</v>
      </c>
      <c r="I8" s="193">
        <f>F8-D8</f>
        <v>-423072.94</v>
      </c>
      <c r="J8" s="193">
        <f>F8/D8*100</f>
        <v>49.697052493906426</v>
      </c>
      <c r="K8" s="191">
        <f>F8-305119.12</f>
        <v>112857.94</v>
      </c>
      <c r="L8" s="191">
        <f>F8/305119.12*100</f>
        <v>136.988157280999</v>
      </c>
      <c r="M8" s="191">
        <f>M9+M15+M18+M19+M20+M17</f>
        <v>67799.29999999999</v>
      </c>
      <c r="N8" s="191">
        <f>N9+N15+N18+N19+N20+N17</f>
        <v>42982.110000000015</v>
      </c>
      <c r="O8" s="191">
        <f>N8-M8</f>
        <v>-24817.189999999973</v>
      </c>
      <c r="P8" s="191">
        <f>N8/M8*100</f>
        <v>63.39609700985117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232359.14</v>
      </c>
      <c r="G9" s="190">
        <f t="shared" si="0"/>
        <v>8454.870000000024</v>
      </c>
      <c r="H9" s="197">
        <f>F9/E9*100</f>
        <v>103.77610931671826</v>
      </c>
      <c r="I9" s="198">
        <f>F9-D9</f>
        <v>-227340.86</v>
      </c>
      <c r="J9" s="198">
        <f>F9/D9*100</f>
        <v>50.545821187731136</v>
      </c>
      <c r="K9" s="199">
        <f>F9-171379.72</f>
        <v>60979.42000000001</v>
      </c>
      <c r="L9" s="199">
        <f>F9/171379.72*100</f>
        <v>135.5814678656261</v>
      </c>
      <c r="M9" s="197">
        <f>E9-травень!E9</f>
        <v>41002</v>
      </c>
      <c r="N9" s="200">
        <f>F9-травень!F9</f>
        <v>33258.22</v>
      </c>
      <c r="O9" s="201">
        <f>N9-M9</f>
        <v>-7743.779999999999</v>
      </c>
      <c r="P9" s="198">
        <f>N9/M9*100</f>
        <v>81.11365299253696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204403.59</v>
      </c>
      <c r="G10" s="109">
        <f t="shared" si="0"/>
        <v>5107.75</v>
      </c>
      <c r="H10" s="32">
        <f aca="true" t="shared" si="1" ref="H10:H35">F10/E10*100</f>
        <v>102.56289845287287</v>
      </c>
      <c r="I10" s="110">
        <f aca="true" t="shared" si="2" ref="I10:I36">F10-D10</f>
        <v>-207036.41</v>
      </c>
      <c r="J10" s="110">
        <f aca="true" t="shared" si="3" ref="J10:J35">F10/D10*100</f>
        <v>49.68004812366323</v>
      </c>
      <c r="K10" s="112">
        <f>F10-152226.9</f>
        <v>52176.69</v>
      </c>
      <c r="L10" s="112">
        <f>F10/152226.9*100</f>
        <v>134.27560437741292</v>
      </c>
      <c r="M10" s="111">
        <f>E10-травень!E10</f>
        <v>37450</v>
      </c>
      <c r="N10" s="179">
        <f>F10-травень!F10</f>
        <v>30235.26000000001</v>
      </c>
      <c r="O10" s="112">
        <f aca="true" t="shared" si="4" ref="O10:O36">N10-M10</f>
        <v>-7214.739999999991</v>
      </c>
      <c r="P10" s="198">
        <f aca="true" t="shared" si="5" ref="P10:P16">N10/M10*100</f>
        <v>80.73500667556745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16331.89</v>
      </c>
      <c r="G11" s="109">
        <f t="shared" si="0"/>
        <v>2166.949999999999</v>
      </c>
      <c r="H11" s="32">
        <f t="shared" si="1"/>
        <v>115.29798220112475</v>
      </c>
      <c r="I11" s="110">
        <f t="shared" si="2"/>
        <v>-6668.110000000001</v>
      </c>
      <c r="J11" s="110">
        <f t="shared" si="3"/>
        <v>71.00821739130434</v>
      </c>
      <c r="K11" s="112">
        <f>F11-9213.1</f>
        <v>7118.789999999999</v>
      </c>
      <c r="L11" s="112">
        <f>F11/9213.1*100</f>
        <v>177.26812907707503</v>
      </c>
      <c r="M11" s="111">
        <f>E11-травень!E11</f>
        <v>1600</v>
      </c>
      <c r="N11" s="179">
        <f>F11-травень!F11</f>
        <v>1652.6399999999994</v>
      </c>
      <c r="O11" s="112">
        <f t="shared" si="4"/>
        <v>52.63999999999942</v>
      </c>
      <c r="P11" s="198">
        <f t="shared" si="5"/>
        <v>103.28999999999996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5051.2</v>
      </c>
      <c r="G12" s="109">
        <f t="shared" si="0"/>
        <v>2330.5899999999997</v>
      </c>
      <c r="H12" s="32">
        <f t="shared" si="1"/>
        <v>185.6642444157744</v>
      </c>
      <c r="I12" s="110">
        <f t="shared" si="2"/>
        <v>-1448.8000000000002</v>
      </c>
      <c r="J12" s="110">
        <f t="shared" si="3"/>
        <v>77.71076923076923</v>
      </c>
      <c r="K12" s="112">
        <f>F12-2592.53</f>
        <v>2458.6699999999996</v>
      </c>
      <c r="L12" s="112">
        <f>F12/2592.53*100</f>
        <v>194.83670391470878</v>
      </c>
      <c r="M12" s="111">
        <f>E12-травень!E12</f>
        <v>500</v>
      </c>
      <c r="N12" s="179">
        <f>F12-травень!F12</f>
        <v>467.97000000000025</v>
      </c>
      <c r="O12" s="112">
        <f t="shared" si="4"/>
        <v>-32.029999999999745</v>
      </c>
      <c r="P12" s="198">
        <f t="shared" si="5"/>
        <v>93.59400000000005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4171.85</v>
      </c>
      <c r="G13" s="109">
        <f t="shared" si="0"/>
        <v>-412.9899999999998</v>
      </c>
      <c r="H13" s="32">
        <f t="shared" si="1"/>
        <v>90.99227017736715</v>
      </c>
      <c r="I13" s="110">
        <f t="shared" si="2"/>
        <v>-8228.15</v>
      </c>
      <c r="J13" s="110">
        <f t="shared" si="3"/>
        <v>33.64395161290323</v>
      </c>
      <c r="K13" s="112">
        <f>F13-2783.41</f>
        <v>1388.4400000000005</v>
      </c>
      <c r="L13" s="112">
        <f>F13/2783.41*100</f>
        <v>149.88269784185587</v>
      </c>
      <c r="M13" s="111">
        <f>E13-травень!E13</f>
        <v>820</v>
      </c>
      <c r="N13" s="179">
        <f>F13-травень!F13</f>
        <v>408.4100000000003</v>
      </c>
      <c r="O13" s="112">
        <f t="shared" si="4"/>
        <v>-411.5899999999997</v>
      </c>
      <c r="P13" s="198">
        <f t="shared" si="5"/>
        <v>49.80609756097565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36628.44</v>
      </c>
      <c r="G19" s="190">
        <f t="shared" si="0"/>
        <v>-11231.96</v>
      </c>
      <c r="H19" s="197">
        <f t="shared" si="1"/>
        <v>76.53183007246074</v>
      </c>
      <c r="I19" s="198">
        <f t="shared" si="2"/>
        <v>-73271.56</v>
      </c>
      <c r="J19" s="198">
        <f t="shared" si="3"/>
        <v>33.32888080072794</v>
      </c>
      <c r="K19" s="209">
        <f>F19-30116.49</f>
        <v>6511.950000000001</v>
      </c>
      <c r="L19" s="209">
        <f>F19/30116.49*100</f>
        <v>121.62253967842867</v>
      </c>
      <c r="M19" s="197">
        <f>E19-травень!E19</f>
        <v>9800</v>
      </c>
      <c r="N19" s="200">
        <f>F19-травень!F19</f>
        <v>1397.8800000000047</v>
      </c>
      <c r="O19" s="201">
        <f t="shared" si="4"/>
        <v>-8402.119999999995</v>
      </c>
      <c r="P19" s="198">
        <f aca="true" t="shared" si="6" ref="P19:P24">N19/M19*100</f>
        <v>14.264081632653108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148574.27</v>
      </c>
      <c r="G20" s="190">
        <f t="shared" si="0"/>
        <v>353.1600000000035</v>
      </c>
      <c r="H20" s="197">
        <f t="shared" si="1"/>
        <v>100.23826565595144</v>
      </c>
      <c r="I20" s="198">
        <f t="shared" si="2"/>
        <v>-122365.73000000001</v>
      </c>
      <c r="J20" s="198">
        <f t="shared" si="3"/>
        <v>54.83659481804089</v>
      </c>
      <c r="K20" s="198">
        <f>F20-100444.36</f>
        <v>48129.90999999999</v>
      </c>
      <c r="L20" s="198">
        <f>F20/100444.36*100</f>
        <v>147.916986080652</v>
      </c>
      <c r="M20" s="197">
        <f>M21+M29+M30+M31</f>
        <v>16992.299999999985</v>
      </c>
      <c r="N20" s="200">
        <f>F20-травень!F20</f>
        <v>8326.01000000001</v>
      </c>
      <c r="O20" s="201">
        <f t="shared" si="4"/>
        <v>-8666.289999999975</v>
      </c>
      <c r="P20" s="198">
        <f t="shared" si="6"/>
        <v>48.99872295098378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76332.19</v>
      </c>
      <c r="G21" s="190">
        <f t="shared" si="0"/>
        <v>-1811.1699999999983</v>
      </c>
      <c r="H21" s="197">
        <f t="shared" si="1"/>
        <v>97.68224709047576</v>
      </c>
      <c r="I21" s="198">
        <f t="shared" si="2"/>
        <v>-85067.81</v>
      </c>
      <c r="J21" s="198">
        <f t="shared" si="3"/>
        <v>47.2937980173482</v>
      </c>
      <c r="K21" s="198">
        <f>F21-54757.32</f>
        <v>21574.870000000003</v>
      </c>
      <c r="L21" s="198">
        <f>F21/54757.32*100</f>
        <v>139.4008874064691</v>
      </c>
      <c r="M21" s="197">
        <f>M22+M25+M26</f>
        <v>13047.099999999999</v>
      </c>
      <c r="N21" s="200">
        <f>F21-травень!F21</f>
        <v>4792.050000000003</v>
      </c>
      <c r="O21" s="201">
        <f t="shared" si="4"/>
        <v>-8255.049999999996</v>
      </c>
      <c r="P21" s="198">
        <f t="shared" si="6"/>
        <v>36.72885162219959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8922.5</v>
      </c>
      <c r="G22" s="212">
        <f t="shared" si="0"/>
        <v>310.89999999999964</v>
      </c>
      <c r="H22" s="214">
        <f t="shared" si="1"/>
        <v>103.61024664406149</v>
      </c>
      <c r="I22" s="215">
        <f t="shared" si="2"/>
        <v>-9577.5</v>
      </c>
      <c r="J22" s="215">
        <f t="shared" si="3"/>
        <v>48.22972972972973</v>
      </c>
      <c r="K22" s="216">
        <f>F22-4957.1</f>
        <v>3965.3999999999996</v>
      </c>
      <c r="L22" s="216">
        <f>F22/4957.1*100</f>
        <v>179.99435153618043</v>
      </c>
      <c r="M22" s="214">
        <f>E22-травень!E22</f>
        <v>240</v>
      </c>
      <c r="N22" s="217">
        <f>F22-травень!F22</f>
        <v>282.35000000000036</v>
      </c>
      <c r="O22" s="218">
        <f t="shared" si="4"/>
        <v>42.350000000000364</v>
      </c>
      <c r="P22" s="215">
        <f t="shared" si="6"/>
        <v>117.6458333333335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276.18</v>
      </c>
      <c r="G23" s="241">
        <f t="shared" si="0"/>
        <v>-112.92000000000002</v>
      </c>
      <c r="H23" s="242">
        <f t="shared" si="1"/>
        <v>70.97918272937548</v>
      </c>
      <c r="I23" s="243">
        <f t="shared" si="2"/>
        <v>-1723.82</v>
      </c>
      <c r="J23" s="243">
        <f t="shared" si="3"/>
        <v>13.809</v>
      </c>
      <c r="K23" s="244">
        <f>F23-284.18</f>
        <v>-8</v>
      </c>
      <c r="L23" s="244">
        <f>F23/284.18*100</f>
        <v>97.1848828207474</v>
      </c>
      <c r="M23" s="239">
        <f>E23-травень!E23</f>
        <v>40</v>
      </c>
      <c r="N23" s="239">
        <f>F23-травень!F23</f>
        <v>12.53000000000003</v>
      </c>
      <c r="O23" s="240">
        <f t="shared" si="4"/>
        <v>-27.46999999999997</v>
      </c>
      <c r="P23" s="240">
        <f t="shared" si="6"/>
        <v>31.325000000000074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8646.31</v>
      </c>
      <c r="G24" s="241">
        <f t="shared" si="0"/>
        <v>423.8099999999995</v>
      </c>
      <c r="H24" s="242">
        <f t="shared" si="1"/>
        <v>105.15427181514137</v>
      </c>
      <c r="I24" s="243">
        <f t="shared" si="2"/>
        <v>-7853.6900000000005</v>
      </c>
      <c r="J24" s="243">
        <f t="shared" si="3"/>
        <v>52.401878787878786</v>
      </c>
      <c r="K24" s="244">
        <f>F24-4672.92</f>
        <v>3973.3899999999994</v>
      </c>
      <c r="L24" s="244">
        <f>F24/4672.92*100</f>
        <v>185.03013105296046</v>
      </c>
      <c r="M24" s="239">
        <f>E24-травень!E24</f>
        <v>200</v>
      </c>
      <c r="N24" s="239">
        <f>F24-травень!F24</f>
        <v>269.8099999999995</v>
      </c>
      <c r="O24" s="240">
        <f t="shared" si="4"/>
        <v>69.80999999999949</v>
      </c>
      <c r="P24" s="240">
        <f t="shared" si="6"/>
        <v>134.90499999999975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66974.64</v>
      </c>
      <c r="G26" s="212">
        <f t="shared" si="0"/>
        <v>-2280.279999999999</v>
      </c>
      <c r="H26" s="214">
        <f t="shared" si="1"/>
        <v>96.70741082366423</v>
      </c>
      <c r="I26" s="215">
        <f t="shared" si="2"/>
        <v>-73125.36</v>
      </c>
      <c r="J26" s="215">
        <f t="shared" si="3"/>
        <v>47.80488222698073</v>
      </c>
      <c r="K26" s="216">
        <f>F26-49589.53</f>
        <v>17385.11</v>
      </c>
      <c r="L26" s="216">
        <f>F26/49589.53*100</f>
        <v>135.0580253533357</v>
      </c>
      <c r="M26" s="214">
        <f>E26-травень!E26</f>
        <v>12807.099999999999</v>
      </c>
      <c r="N26" s="217">
        <f>F26-травень!F26</f>
        <v>4494.729999999996</v>
      </c>
      <c r="O26" s="218">
        <f t="shared" si="4"/>
        <v>-8312.370000000003</v>
      </c>
      <c r="P26" s="215">
        <f>N26/M26*100</f>
        <v>35.095611028257736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20404.6</v>
      </c>
      <c r="G27" s="241">
        <f t="shared" si="0"/>
        <v>974.8499999999985</v>
      </c>
      <c r="H27" s="242">
        <f t="shared" si="1"/>
        <v>105.01730593548552</v>
      </c>
      <c r="I27" s="243">
        <f t="shared" si="2"/>
        <v>-17652.4</v>
      </c>
      <c r="J27" s="243">
        <f t="shared" si="3"/>
        <v>53.61589195154636</v>
      </c>
      <c r="K27" s="244">
        <f>F27-12926</f>
        <v>7478.5999999999985</v>
      </c>
      <c r="L27" s="244">
        <f>F27/12926*100</f>
        <v>157.85703233792356</v>
      </c>
      <c r="M27" s="239">
        <f>E27-12724.05</f>
        <v>6705.700000000001</v>
      </c>
      <c r="N27" s="239">
        <f>F27-15205.9</f>
        <v>5198.699999999999</v>
      </c>
      <c r="O27" s="240">
        <f t="shared" si="4"/>
        <v>-1507.0000000000018</v>
      </c>
      <c r="P27" s="240">
        <f>N27/M27*100</f>
        <v>77.52658186319098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46570.03</v>
      </c>
      <c r="G28" s="241">
        <f t="shared" si="0"/>
        <v>-3255.1399999999994</v>
      </c>
      <c r="H28" s="242">
        <f t="shared" si="1"/>
        <v>93.46687627959925</v>
      </c>
      <c r="I28" s="243">
        <f t="shared" si="2"/>
        <v>36527.03</v>
      </c>
      <c r="J28" s="243">
        <f t="shared" si="3"/>
        <v>463.70636264064524</v>
      </c>
      <c r="K28" s="244">
        <f>F28-36663.53</f>
        <v>9906.5</v>
      </c>
      <c r="L28" s="244">
        <f>F28/36663.53*100</f>
        <v>127.02003871422092</v>
      </c>
      <c r="M28" s="239">
        <f>E28-32053.77</f>
        <v>17771.399999999998</v>
      </c>
      <c r="N28" s="239">
        <f>F28-34030.56</f>
        <v>12539.470000000001</v>
      </c>
      <c r="O28" s="240">
        <f t="shared" si="4"/>
        <v>-5231.929999999997</v>
      </c>
      <c r="P28" s="240">
        <f>N28/M28*100</f>
        <v>70.55983208976222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72311.5</v>
      </c>
      <c r="G31" s="202">
        <f t="shared" si="0"/>
        <v>2269.4600000000064</v>
      </c>
      <c r="H31" s="204">
        <f t="shared" si="1"/>
        <v>103.24013977890993</v>
      </c>
      <c r="I31" s="205">
        <f t="shared" si="2"/>
        <v>-37151.5</v>
      </c>
      <c r="J31" s="205">
        <f t="shared" si="3"/>
        <v>66.06022126197894</v>
      </c>
      <c r="K31" s="219">
        <f>F31-46052.97</f>
        <v>26258.53</v>
      </c>
      <c r="L31" s="219">
        <f>F31/46052.97*100</f>
        <v>157.01810328410957</v>
      </c>
      <c r="M31" s="197">
        <f>E31-травень!E31</f>
        <v>3939.9999999999854</v>
      </c>
      <c r="N31" s="200">
        <f>F31-травень!F31</f>
        <v>3544.800000000003</v>
      </c>
      <c r="O31" s="207">
        <f t="shared" si="4"/>
        <v>-395.19999999998254</v>
      </c>
      <c r="P31" s="205">
        <f>N31/M31*100</f>
        <v>89.96954314720853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18135.53</v>
      </c>
      <c r="G33" s="109">
        <f t="shared" si="0"/>
        <v>439.5599999999977</v>
      </c>
      <c r="H33" s="111">
        <f t="shared" si="1"/>
        <v>102.48395538645238</v>
      </c>
      <c r="I33" s="110">
        <f t="shared" si="2"/>
        <v>-9464.470000000001</v>
      </c>
      <c r="J33" s="110">
        <f t="shared" si="3"/>
        <v>65.7084420289855</v>
      </c>
      <c r="K33" s="142">
        <f>F33-11423.16</f>
        <v>6712.369999999999</v>
      </c>
      <c r="L33" s="142">
        <f>F33/11423.16*100</f>
        <v>158.7610608623183</v>
      </c>
      <c r="M33" s="111">
        <f>E33-травень!E33</f>
        <v>940</v>
      </c>
      <c r="N33" s="179">
        <f>F33-травень!F33</f>
        <v>583.4699999999975</v>
      </c>
      <c r="O33" s="112">
        <f t="shared" si="4"/>
        <v>-356.5300000000025</v>
      </c>
      <c r="P33" s="110">
        <f>N33/M33*100</f>
        <v>62.071276595744415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54161.79</v>
      </c>
      <c r="G34" s="109">
        <f t="shared" si="0"/>
        <v>1825.7099999999991</v>
      </c>
      <c r="H34" s="111">
        <f t="shared" si="1"/>
        <v>103.488434747119</v>
      </c>
      <c r="I34" s="110">
        <f t="shared" si="2"/>
        <v>-27650.21</v>
      </c>
      <c r="J34" s="110">
        <f t="shared" si="3"/>
        <v>66.20274531853518</v>
      </c>
      <c r="K34" s="142">
        <f>F34-34622.85</f>
        <v>19538.940000000002</v>
      </c>
      <c r="L34" s="142">
        <f>F34/34622.85*100</f>
        <v>156.4336558082307</v>
      </c>
      <c r="M34" s="111">
        <f>E34-травень!E34</f>
        <v>3000</v>
      </c>
      <c r="N34" s="179">
        <f>F34-травень!F34</f>
        <v>2961.3300000000017</v>
      </c>
      <c r="O34" s="112">
        <f t="shared" si="4"/>
        <v>-38.669999999998254</v>
      </c>
      <c r="P34" s="110">
        <f>N34/M34*100</f>
        <v>98.71100000000006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28728.87</v>
      </c>
      <c r="G37" s="191">
        <f>G38+G39+G40+G41+G42+G44+G46+G47+G48+G49+G50+G55+G56+G60</f>
        <v>7224.039999999998</v>
      </c>
      <c r="H37" s="192">
        <f>F37/E37*100</f>
        <v>133.6348958485964</v>
      </c>
      <c r="I37" s="193">
        <f>F37-D37</f>
        <v>-14091.130000000001</v>
      </c>
      <c r="J37" s="193">
        <f>F37/D37*100</f>
        <v>67.0921765530126</v>
      </c>
      <c r="K37" s="191">
        <f>F37-15873</f>
        <v>12855.869999999999</v>
      </c>
      <c r="L37" s="191">
        <f>F37/15873*100</f>
        <v>180.992061992062</v>
      </c>
      <c r="M37" s="191">
        <f>M38+M39+M40+M41+M42+M44+M46+M47+M48+M49+M50+M55+M56+M60</f>
        <v>3691.0000000000005</v>
      </c>
      <c r="N37" s="191">
        <f>N38+N39+N40+N41+N42+N44+N46+N47+N48+N49+N50+N55+N56+N60+N43</f>
        <v>5888.450000000001</v>
      </c>
      <c r="O37" s="191">
        <f>O38+O39+O40+O41+O42+O44+O46+O47+O48+O49+O50+O55+O56+O60</f>
        <v>2197.4500000000003</v>
      </c>
      <c r="P37" s="191">
        <f>N37/M37*100</f>
        <v>159.53535627201302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57.57</v>
      </c>
      <c r="G42" s="202">
        <f t="shared" si="9"/>
        <v>-2.4299999999999997</v>
      </c>
      <c r="H42" s="204">
        <f t="shared" si="7"/>
        <v>95.95</v>
      </c>
      <c r="I42" s="205">
        <f t="shared" si="10"/>
        <v>-92.43</v>
      </c>
      <c r="J42" s="205">
        <f t="shared" si="12"/>
        <v>38.379999999999995</v>
      </c>
      <c r="K42" s="205">
        <f>F42-81.62</f>
        <v>-24.050000000000004</v>
      </c>
      <c r="L42" s="205">
        <f>F42/81.62*100</f>
        <v>70.53418279833373</v>
      </c>
      <c r="M42" s="204">
        <f>E42-травень!E42</f>
        <v>10</v>
      </c>
      <c r="N42" s="208">
        <f>F42-травень!F42</f>
        <v>7.170000000000002</v>
      </c>
      <c r="O42" s="207">
        <f t="shared" si="11"/>
        <v>-2.8299999999999983</v>
      </c>
      <c r="P42" s="205">
        <f t="shared" si="8"/>
        <v>71.70000000000002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149.92</v>
      </c>
      <c r="G44" s="202">
        <f t="shared" si="9"/>
        <v>109.91999999999999</v>
      </c>
      <c r="H44" s="204">
        <f t="shared" si="7"/>
        <v>374.79999999999995</v>
      </c>
      <c r="I44" s="205">
        <f t="shared" si="10"/>
        <v>59.91999999999999</v>
      </c>
      <c r="J44" s="205">
        <f t="shared" si="12"/>
        <v>166.57777777777775</v>
      </c>
      <c r="K44" s="205">
        <f>F44-0</f>
        <v>149.92</v>
      </c>
      <c r="L44" s="205"/>
      <c r="M44" s="204">
        <f>E44-травень!E44</f>
        <v>8</v>
      </c>
      <c r="N44" s="208">
        <f>F44-травень!F44</f>
        <v>73.58999999999999</v>
      </c>
      <c r="O44" s="207">
        <f t="shared" si="11"/>
        <v>65.58999999999999</v>
      </c>
      <c r="P44" s="205">
        <f t="shared" si="8"/>
        <v>919.8749999999999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4716.46</v>
      </c>
      <c r="G46" s="202">
        <f t="shared" si="9"/>
        <v>177.4399999999996</v>
      </c>
      <c r="H46" s="204">
        <f t="shared" si="7"/>
        <v>103.909213883173</v>
      </c>
      <c r="I46" s="205">
        <f t="shared" si="10"/>
        <v>-5183.54</v>
      </c>
      <c r="J46" s="205">
        <f t="shared" si="12"/>
        <v>47.6410101010101</v>
      </c>
      <c r="K46" s="205">
        <f>F46-4927.6</f>
        <v>-211.14000000000033</v>
      </c>
      <c r="L46" s="205">
        <f>F46/4927.6*100</f>
        <v>95.71515545092946</v>
      </c>
      <c r="M46" s="204">
        <f>E46-травень!E46</f>
        <v>800.0000000000005</v>
      </c>
      <c r="N46" s="208">
        <f>F46-травень!F46</f>
        <v>659.0500000000002</v>
      </c>
      <c r="O46" s="207">
        <f t="shared" si="11"/>
        <v>-140.95000000000027</v>
      </c>
      <c r="P46" s="205">
        <f t="shared" si="8"/>
        <v>82.38124999999997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63.07</v>
      </c>
      <c r="G47" s="202">
        <f t="shared" si="9"/>
        <v>-586.93</v>
      </c>
      <c r="H47" s="204">
        <f t="shared" si="7"/>
        <v>9.703076923076923</v>
      </c>
      <c r="I47" s="205">
        <f t="shared" si="10"/>
        <v>-1436.93</v>
      </c>
      <c r="J47" s="205">
        <f t="shared" si="12"/>
        <v>4.204666666666667</v>
      </c>
      <c r="K47" s="205">
        <f>F47-0</f>
        <v>63.07</v>
      </c>
      <c r="L47" s="205"/>
      <c r="M47" s="204">
        <f>E47-травень!E47</f>
        <v>130</v>
      </c>
      <c r="N47" s="208">
        <f>F47-травень!F47</f>
        <v>29.14</v>
      </c>
      <c r="O47" s="207">
        <f t="shared" si="11"/>
        <v>-100.86</v>
      </c>
      <c r="P47" s="205">
        <f t="shared" si="8"/>
        <v>22.415384615384614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2974.99</v>
      </c>
      <c r="G50" s="202">
        <f t="shared" si="9"/>
        <v>-244.20000000000027</v>
      </c>
      <c r="H50" s="204">
        <f t="shared" si="7"/>
        <v>92.4142408494062</v>
      </c>
      <c r="I50" s="205">
        <f t="shared" si="10"/>
        <v>-4325.01</v>
      </c>
      <c r="J50" s="205">
        <f t="shared" si="12"/>
        <v>40.753287671232876</v>
      </c>
      <c r="K50" s="205">
        <f>F50-4033.24</f>
        <v>-1058.25</v>
      </c>
      <c r="L50" s="205">
        <f>F50/4033.24*100</f>
        <v>73.76178952901388</v>
      </c>
      <c r="M50" s="204">
        <f>E50-травень!E50</f>
        <v>666</v>
      </c>
      <c r="N50" s="208">
        <f>F50-травень!F50</f>
        <v>401.52999999999975</v>
      </c>
      <c r="O50" s="207">
        <f t="shared" si="11"/>
        <v>-264.47000000000025</v>
      </c>
      <c r="P50" s="205">
        <f t="shared" si="8"/>
        <v>60.28978978978975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412</v>
      </c>
      <c r="G51" s="36">
        <f t="shared" si="9"/>
        <v>-139.99</v>
      </c>
      <c r="H51" s="32">
        <f t="shared" si="7"/>
        <v>74.63903331582094</v>
      </c>
      <c r="I51" s="110">
        <f t="shared" si="10"/>
        <v>-688</v>
      </c>
      <c r="J51" s="110">
        <f t="shared" si="12"/>
        <v>37.45454545454546</v>
      </c>
      <c r="K51" s="110">
        <f>F51-582.74</f>
        <v>-170.74</v>
      </c>
      <c r="L51" s="110">
        <f>F51/582.74*100</f>
        <v>70.700483920788</v>
      </c>
      <c r="M51" s="111">
        <f>E51-травень!E51</f>
        <v>185</v>
      </c>
      <c r="N51" s="179">
        <f>F51-травень!F51</f>
        <v>44.44999999999999</v>
      </c>
      <c r="O51" s="112">
        <f t="shared" si="11"/>
        <v>-140.55</v>
      </c>
      <c r="P51" s="132">
        <f t="shared" si="8"/>
        <v>24.02702702702702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2562.75</v>
      </c>
      <c r="G54" s="36">
        <f t="shared" si="9"/>
        <v>-99.42000000000007</v>
      </c>
      <c r="H54" s="32">
        <f t="shared" si="7"/>
        <v>96.2654526194796</v>
      </c>
      <c r="I54" s="110">
        <f t="shared" si="10"/>
        <v>-3591.25</v>
      </c>
      <c r="J54" s="110">
        <f t="shared" si="12"/>
        <v>41.64364640883978</v>
      </c>
      <c r="K54" s="110">
        <f>F54-3404.6</f>
        <v>-841.8499999999999</v>
      </c>
      <c r="L54" s="110">
        <f>F54/3404.6*100</f>
        <v>75.27315984256595</v>
      </c>
      <c r="M54" s="111">
        <f>E54-травень!E54</f>
        <v>480</v>
      </c>
      <c r="N54" s="179">
        <f>F54-травень!F54</f>
        <v>357.0799999999999</v>
      </c>
      <c r="O54" s="112">
        <f t="shared" si="11"/>
        <v>-122.92000000000007</v>
      </c>
      <c r="P54" s="132">
        <f t="shared" si="8"/>
        <v>74.39166666666665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2616.09</v>
      </c>
      <c r="G56" s="202">
        <f t="shared" si="9"/>
        <v>348.1100000000001</v>
      </c>
      <c r="H56" s="204">
        <f t="shared" si="7"/>
        <v>115.34890078395755</v>
      </c>
      <c r="I56" s="205">
        <f t="shared" si="10"/>
        <v>-2183.91</v>
      </c>
      <c r="J56" s="205">
        <f t="shared" si="12"/>
        <v>54.501875</v>
      </c>
      <c r="K56" s="205">
        <f>F56-2236.15</f>
        <v>379.94000000000005</v>
      </c>
      <c r="L56" s="205">
        <f>F56/2236.15*100</f>
        <v>116.9908100977126</v>
      </c>
      <c r="M56" s="204">
        <f>E56-травень!E56</f>
        <v>400</v>
      </c>
      <c r="N56" s="208">
        <f>F56-травень!F56</f>
        <v>295.98</v>
      </c>
      <c r="O56" s="207">
        <f t="shared" si="11"/>
        <v>-104.01999999999998</v>
      </c>
      <c r="P56" s="205">
        <f t="shared" si="8"/>
        <v>73.995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581.6</v>
      </c>
      <c r="G58" s="202"/>
      <c r="H58" s="204"/>
      <c r="I58" s="205"/>
      <c r="J58" s="205"/>
      <c r="K58" s="206">
        <f>F58-577.4</f>
        <v>4.2000000000000455</v>
      </c>
      <c r="L58" s="206">
        <f>F58/577.4*100</f>
        <v>100.72739868375477</v>
      </c>
      <c r="M58" s="236"/>
      <c r="N58" s="220">
        <f>F58-травень!F58</f>
        <v>103.23000000000002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446719.85000000003</v>
      </c>
      <c r="G63" s="191">
        <f>F63-E63</f>
        <v>4973.840000000084</v>
      </c>
      <c r="H63" s="192">
        <f>F63/E63*100</f>
        <v>101.12595018119124</v>
      </c>
      <c r="I63" s="193">
        <f>F63-D63</f>
        <v>-437180.74999999994</v>
      </c>
      <c r="J63" s="193">
        <f>F63/D63*100</f>
        <v>50.539602529967745</v>
      </c>
      <c r="K63" s="193">
        <f>F63-320998.67</f>
        <v>125721.18000000005</v>
      </c>
      <c r="L63" s="193">
        <f>F63/320998.67*100</f>
        <v>139.16563891059116</v>
      </c>
      <c r="M63" s="191">
        <f>M8+M37+M61+M62</f>
        <v>71492.59999999999</v>
      </c>
      <c r="N63" s="191">
        <f>N8+N37+N61+N62</f>
        <v>48870.56000000001</v>
      </c>
      <c r="O63" s="195">
        <f>N63-M63</f>
        <v>-22622.03999999998</v>
      </c>
      <c r="P63" s="193">
        <f>N63/M63*100</f>
        <v>68.35750832953343</v>
      </c>
      <c r="Q63" s="28">
        <f>N63-34768</f>
        <v>14102.560000000012</v>
      </c>
      <c r="R63" s="128">
        <f>N63/34768</f>
        <v>1.405618959963185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1042.01</v>
      </c>
      <c r="G72" s="202">
        <f aca="true" t="shared" si="13" ref="G72:G82">F72-E72</f>
        <v>-370.99</v>
      </c>
      <c r="H72" s="204"/>
      <c r="I72" s="207">
        <f aca="true" t="shared" si="14" ref="I72:I82">F72-D72</f>
        <v>-3157.99</v>
      </c>
      <c r="J72" s="207">
        <f>F72/D72*100</f>
        <v>24.809761904761903</v>
      </c>
      <c r="K72" s="207">
        <f>F72-194</f>
        <v>848.01</v>
      </c>
      <c r="L72" s="207">
        <f>F72/194*100</f>
        <v>537.1185567010309</v>
      </c>
      <c r="M72" s="204">
        <f>E72-травень!E72</f>
        <v>500</v>
      </c>
      <c r="N72" s="208">
        <f>F72-травень!F72</f>
        <v>0.03999999999996362</v>
      </c>
      <c r="O72" s="207">
        <f aca="true" t="shared" si="15" ref="O72:O85">N72-M72</f>
        <v>-499.96000000000004</v>
      </c>
      <c r="P72" s="207">
        <f>N72/M72*100</f>
        <v>0.007999999999992725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884.66</v>
      </c>
      <c r="G73" s="202">
        <f t="shared" si="13"/>
        <v>-1349.0500000000002</v>
      </c>
      <c r="H73" s="204">
        <f>F73/E73*100</f>
        <v>39.604962148175005</v>
      </c>
      <c r="I73" s="207">
        <f t="shared" si="14"/>
        <v>-6574.34</v>
      </c>
      <c r="J73" s="207">
        <f>F73/D73*100</f>
        <v>11.860302989676901</v>
      </c>
      <c r="K73" s="207">
        <f>F73-3257.07</f>
        <v>-2372.4100000000003</v>
      </c>
      <c r="L73" s="207">
        <f>F73/3257.07*100</f>
        <v>27.16122158872852</v>
      </c>
      <c r="M73" s="204">
        <f>E73-травень!E73</f>
        <v>282.60000000000014</v>
      </c>
      <c r="N73" s="208">
        <f>F73-травень!F73</f>
        <v>15.42999999999995</v>
      </c>
      <c r="O73" s="207">
        <f t="shared" si="15"/>
        <v>-267.1700000000002</v>
      </c>
      <c r="P73" s="207">
        <f>N73/M73*100</f>
        <v>5.46001415428165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9113.79</v>
      </c>
      <c r="G74" s="202">
        <f t="shared" si="13"/>
        <v>7320.9400000000005</v>
      </c>
      <c r="H74" s="204">
        <f>F74/E74*100</f>
        <v>508.34090972474</v>
      </c>
      <c r="I74" s="207">
        <f t="shared" si="14"/>
        <v>3113.790000000001</v>
      </c>
      <c r="J74" s="207">
        <f>F74/D74*100</f>
        <v>151.8965</v>
      </c>
      <c r="K74" s="207">
        <f>F74-1818.42</f>
        <v>7295.370000000001</v>
      </c>
      <c r="L74" s="207">
        <f>F74/1818.42*100</f>
        <v>501.1927937440196</v>
      </c>
      <c r="M74" s="204">
        <f>E74-травень!E74</f>
        <v>302</v>
      </c>
      <c r="N74" s="208">
        <f>F74-травень!F74</f>
        <v>0.4000000000014552</v>
      </c>
      <c r="O74" s="207">
        <f t="shared" si="15"/>
        <v>-301.59999999999854</v>
      </c>
      <c r="P74" s="207">
        <f>N74/M74*100</f>
        <v>0.13245033112630966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11046.460000000001</v>
      </c>
      <c r="G76" s="226">
        <f t="shared" si="13"/>
        <v>5600.9000000000015</v>
      </c>
      <c r="H76" s="227">
        <f>F76/E76*100</f>
        <v>202.85259918171872</v>
      </c>
      <c r="I76" s="228">
        <f t="shared" si="14"/>
        <v>-6624.539999999999</v>
      </c>
      <c r="J76" s="228">
        <f>F76/D76*100</f>
        <v>62.51179899269991</v>
      </c>
      <c r="K76" s="228">
        <f>F76-5269.49</f>
        <v>5776.970000000001</v>
      </c>
      <c r="L76" s="228">
        <f>F76/5269.49*100</f>
        <v>209.63053350514</v>
      </c>
      <c r="M76" s="226">
        <f>M72+M73+M74+M75</f>
        <v>1085.6000000000001</v>
      </c>
      <c r="N76" s="230">
        <f>N72+N73+N74+N75</f>
        <v>16.87000000000137</v>
      </c>
      <c r="O76" s="228">
        <f t="shared" si="15"/>
        <v>-1068.7299999999987</v>
      </c>
      <c r="P76" s="228">
        <f>N76/M76*100</f>
        <v>1.5539793662492047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4890.33</v>
      </c>
      <c r="G79" s="202">
        <f t="shared" si="13"/>
        <v>-226.97000000000025</v>
      </c>
      <c r="H79" s="204">
        <f>F79/E79*100</f>
        <v>95.56465323510444</v>
      </c>
      <c r="I79" s="207">
        <f t="shared" si="14"/>
        <v>-4609.67</v>
      </c>
      <c r="J79" s="207">
        <f>F79/D79*100</f>
        <v>51.477157894736834</v>
      </c>
      <c r="K79" s="207">
        <f>F79-0</f>
        <v>4890.33</v>
      </c>
      <c r="L79" s="207"/>
      <c r="M79" s="204">
        <f>E79-травень!E79</f>
        <v>0.3000000000001819</v>
      </c>
      <c r="N79" s="208">
        <f>F79-травень!F79</f>
        <v>2.5599999999994907</v>
      </c>
      <c r="O79" s="207">
        <f>N79-M79</f>
        <v>2.259999999999309</v>
      </c>
      <c r="P79" s="231">
        <f>N79/M79*100</f>
        <v>853.3333333326462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4896.21</v>
      </c>
      <c r="G81" s="224">
        <f>G77+G80+G78+G79</f>
        <v>-221.09000000000026</v>
      </c>
      <c r="H81" s="227">
        <f>F81/E81*100</f>
        <v>95.67955757919215</v>
      </c>
      <c r="I81" s="228">
        <f t="shared" si="14"/>
        <v>-4604.79</v>
      </c>
      <c r="J81" s="228">
        <f>F81/D81*100</f>
        <v>51.533628039153776</v>
      </c>
      <c r="K81" s="228">
        <f>F81-1.06</f>
        <v>4895.15</v>
      </c>
      <c r="L81" s="228">
        <f>F81/1.06*100</f>
        <v>461906.6037735849</v>
      </c>
      <c r="M81" s="226">
        <f>M77+M80+M78+M79</f>
        <v>0.3000000000001819</v>
      </c>
      <c r="N81" s="230">
        <f>N77+N80+N78+N79</f>
        <v>3.3499999999994907</v>
      </c>
      <c r="O81" s="226">
        <f>O77+O80+O78+O79</f>
        <v>3.049999999999309</v>
      </c>
      <c r="P81" s="228">
        <f>N81/M81*100</f>
        <v>1116.6666666658198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10.96</v>
      </c>
      <c r="G82" s="202">
        <f t="shared" si="13"/>
        <v>-8.739999999999998</v>
      </c>
      <c r="H82" s="204">
        <f>F82/E82*100</f>
        <v>55.634517766497474</v>
      </c>
      <c r="I82" s="207">
        <f t="shared" si="14"/>
        <v>-32.04</v>
      </c>
      <c r="J82" s="207">
        <f>F82/D82*100</f>
        <v>25.48837209302326</v>
      </c>
      <c r="K82" s="207">
        <f>F82-19.94</f>
        <v>-8.98</v>
      </c>
      <c r="L82" s="207">
        <f>F82/19.94*100</f>
        <v>54.964894684052155</v>
      </c>
      <c r="M82" s="204">
        <f>E82-травень!E82</f>
        <v>5.899999999999999</v>
      </c>
      <c r="N82" s="208">
        <f>F82-травень!F82</f>
        <v>1.7700000000000014</v>
      </c>
      <c r="O82" s="207">
        <f t="shared" si="15"/>
        <v>-4.129999999999997</v>
      </c>
      <c r="P82" s="207">
        <f>N82/M82</f>
        <v>0.3000000000000003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15951.34</v>
      </c>
      <c r="G84" s="233">
        <f>F84-E84</f>
        <v>5368.780000000001</v>
      </c>
      <c r="H84" s="234">
        <f>F84/E84*100</f>
        <v>150.73233697706416</v>
      </c>
      <c r="I84" s="235">
        <f>F84-D84</f>
        <v>-11263.66</v>
      </c>
      <c r="J84" s="235">
        <f>F84/D84*100</f>
        <v>58.612309388205034</v>
      </c>
      <c r="K84" s="235">
        <f>F84-5259.67</f>
        <v>10691.67</v>
      </c>
      <c r="L84" s="235">
        <f>F84/5259.67*100</f>
        <v>303.2764412976479</v>
      </c>
      <c r="M84" s="232">
        <f>M70+M82+M76+M81</f>
        <v>1091.8000000000004</v>
      </c>
      <c r="N84" s="232">
        <f>N70+N82+N76+N81+N83</f>
        <v>19.96000000000086</v>
      </c>
      <c r="O84" s="235">
        <f t="shared" si="15"/>
        <v>-1071.8399999999995</v>
      </c>
      <c r="P84" s="235">
        <f>N84/M84*100</f>
        <v>1.8281736581792318</v>
      </c>
      <c r="Q84" s="28">
        <f>N84-8104.96</f>
        <v>-8084.999999999999</v>
      </c>
      <c r="R84" s="101">
        <f>N84/8104.96</f>
        <v>0.002462689513581913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462671.19000000006</v>
      </c>
      <c r="G85" s="233">
        <f>F85-E85</f>
        <v>10342.620000000112</v>
      </c>
      <c r="H85" s="234">
        <f>F85/E85*100</f>
        <v>102.2865281315306</v>
      </c>
      <c r="I85" s="235">
        <f>F85-D85</f>
        <v>-448444.4099999999</v>
      </c>
      <c r="J85" s="235">
        <f>F85/D85*100</f>
        <v>50.78073408028576</v>
      </c>
      <c r="K85" s="235">
        <f>F85-320998.67-5259.67</f>
        <v>136412.85000000006</v>
      </c>
      <c r="L85" s="235">
        <f>F85/(265734.15+4325.48)*100</f>
        <v>171.32186324923873</v>
      </c>
      <c r="M85" s="233">
        <f>M63+M84</f>
        <v>72584.4</v>
      </c>
      <c r="N85" s="233">
        <f>N63+N84</f>
        <v>48890.52000000001</v>
      </c>
      <c r="O85" s="235">
        <f t="shared" si="15"/>
        <v>-23693.879999999983</v>
      </c>
      <c r="P85" s="235">
        <f>N85/M85*100</f>
        <v>67.35678740886473</v>
      </c>
      <c r="Q85" s="28">
        <f>N85-42872.96</f>
        <v>6017.560000000012</v>
      </c>
      <c r="R85" s="101">
        <f>N85/42872.96</f>
        <v>1.1403579318992674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4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5655.509999999995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42543</v>
      </c>
      <c r="D89" s="31">
        <v>4018.8</v>
      </c>
      <c r="G89" s="4" t="s">
        <v>59</v>
      </c>
      <c r="N89" s="256"/>
      <c r="O89" s="256"/>
    </row>
    <row r="90" spans="3:15" ht="15">
      <c r="C90" s="87">
        <v>42542</v>
      </c>
      <c r="D90" s="31">
        <v>3344.6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42538</v>
      </c>
      <c r="D91" s="31">
        <v>3966.5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1105.58964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247">
        <f>F44+F47+F48</f>
        <v>221.52999999999997</v>
      </c>
      <c r="G96" s="73">
        <f>G44+G47+G48</f>
        <v>-488.46999999999997</v>
      </c>
      <c r="H96" s="74"/>
      <c r="I96" s="74"/>
      <c r="M96" s="31">
        <f>M44+M47+M48</f>
        <v>142</v>
      </c>
      <c r="N96" s="246">
        <f>N44+N47+N48</f>
        <v>103.54999999999998</v>
      </c>
      <c r="O96" s="31">
        <f>O44+O47+O48</f>
        <v>-38.45000000000001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2" sqref="B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2016-06-22T07:17:03Z</cp:lastPrinted>
  <dcterms:created xsi:type="dcterms:W3CDTF">2003-07-28T11:27:56Z</dcterms:created>
  <dcterms:modified xsi:type="dcterms:W3CDTF">2016-06-23T08:17:36Z</dcterms:modified>
  <cp:category/>
  <cp:version/>
  <cp:contentType/>
  <cp:contentStatus/>
</cp:coreProperties>
</file>